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<sst xmlns="http://schemas.openxmlformats.org/spreadsheetml/2006/main" count="1478" uniqueCount="307">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</sst>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8" sqref="H1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455598.77</v>
      </c>
      <c r="G8" s="18">
        <f aca="true" t="shared" si="0" ref="G8:G54">F8-E8</f>
        <v>-3153.7299999999814</v>
      </c>
      <c r="H8" s="45">
        <f>F8/E8*100</f>
        <v>99.31254216598275</v>
      </c>
      <c r="I8" s="31">
        <f aca="true" t="shared" si="1" ref="I8:I54">F8-D8</f>
        <v>-116690.22999999998</v>
      </c>
      <c r="J8" s="31">
        <f aca="true" t="shared" si="2" ref="J8:J14">F8/D8*100</f>
        <v>79.60991212481807</v>
      </c>
      <c r="K8" s="18">
        <f>K9+K15+K18+K19+K20+K32</f>
        <v>96614.926</v>
      </c>
      <c r="L8" s="18"/>
      <c r="M8" s="18">
        <f>M9+M15+M18+M19+M20+M32+M17</f>
        <v>45676.399999999994</v>
      </c>
      <c r="N8" s="18">
        <f>N9+N15+N18+N19+N20+N32+N17</f>
        <v>26086.659999999996</v>
      </c>
      <c r="O8" s="31">
        <f aca="true" t="shared" si="3" ref="O8:O54">N8-M8</f>
        <v>-19589.739999999998</v>
      </c>
      <c r="P8" s="31">
        <f>F8/M8*100</f>
        <v>997.448945188325</v>
      </c>
      <c r="Q8" s="31">
        <f>N8-33748.16</f>
        <v>-7661.500000000007</v>
      </c>
      <c r="R8" s="125">
        <f>N8/33748.16</f>
        <v>0.772980215810284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253297.31</v>
      </c>
      <c r="G9" s="43">
        <f t="shared" si="0"/>
        <v>4682.760000000009</v>
      </c>
      <c r="H9" s="35">
        <f aca="true" t="shared" si="4" ref="H9:H32">F9/E9*100</f>
        <v>101.8835422142429</v>
      </c>
      <c r="I9" s="50">
        <f t="shared" si="1"/>
        <v>-59392.69</v>
      </c>
      <c r="J9" s="50">
        <f t="shared" si="2"/>
        <v>81.00588762032685</v>
      </c>
      <c r="K9" s="132">
        <f>F9-282613.68/75*60</f>
        <v>27206.36600000001</v>
      </c>
      <c r="L9" s="132">
        <f>F9/(282613.68/75*60)*100</f>
        <v>112.03337272986926</v>
      </c>
      <c r="M9" s="35">
        <f>E9-серпень!E9</f>
        <v>26089.899999999994</v>
      </c>
      <c r="N9" s="35">
        <f>F9-серпень!F9</f>
        <v>19586.29999999999</v>
      </c>
      <c r="O9" s="47">
        <f t="shared" si="3"/>
        <v>-6503.600000000006</v>
      </c>
      <c r="P9" s="50">
        <f aca="true" t="shared" si="5" ref="P9:P32">N9/M9*100</f>
        <v>75.0723460036259</v>
      </c>
      <c r="Q9" s="132">
        <f>N9-26568.11</f>
        <v>-6981.810000000012</v>
      </c>
      <c r="R9" s="133">
        <f>N9/26568.11</f>
        <v>0.7372108892954745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224038.18</v>
      </c>
      <c r="G10" s="135">
        <f t="shared" si="0"/>
        <v>5547.929999999993</v>
      </c>
      <c r="H10" s="137">
        <f t="shared" si="4"/>
        <v>102.53921170395475</v>
      </c>
      <c r="I10" s="136">
        <f t="shared" si="1"/>
        <v>-16371.820000000007</v>
      </c>
      <c r="J10" s="136">
        <f t="shared" si="2"/>
        <v>93.19004201156358</v>
      </c>
      <c r="K10" s="138">
        <f>F10-251377.17/75*60</f>
        <v>22936.44399999999</v>
      </c>
      <c r="L10" s="138">
        <f>F10/(251377.17/75*60)*100</f>
        <v>111.40539333782777</v>
      </c>
      <c r="M10" s="137">
        <f>E10-серпень!E10</f>
        <v>22490</v>
      </c>
      <c r="N10" s="137">
        <f>F10-серпень!F10</f>
        <v>17419.97</v>
      </c>
      <c r="O10" s="138">
        <f t="shared" si="3"/>
        <v>-5070.029999999999</v>
      </c>
      <c r="P10" s="136">
        <f t="shared" si="5"/>
        <v>77.45651400622499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13253.43</v>
      </c>
      <c r="G11" s="135">
        <f t="shared" si="0"/>
        <v>-3534.470000000001</v>
      </c>
      <c r="H11" s="137">
        <f t="shared" si="4"/>
        <v>78.94632443605215</v>
      </c>
      <c r="I11" s="136">
        <f t="shared" si="1"/>
        <v>-10446.57</v>
      </c>
      <c r="J11" s="136">
        <f t="shared" si="2"/>
        <v>55.92164556962026</v>
      </c>
      <c r="K11" s="138">
        <f>F11-18550.28/75*60</f>
        <v>-1586.7939999999999</v>
      </c>
      <c r="L11" s="138">
        <f>F11/(18550.28/75*60)*100</f>
        <v>89.3074794558357</v>
      </c>
      <c r="M11" s="137">
        <f>E11-серпень!E11</f>
        <v>2099.9000000000015</v>
      </c>
      <c r="N11" s="137">
        <f>F11-серпень!F11</f>
        <v>844.8700000000008</v>
      </c>
      <c r="O11" s="138">
        <f t="shared" si="3"/>
        <v>-1255.0300000000007</v>
      </c>
      <c r="P11" s="136">
        <f t="shared" si="5"/>
        <v>40.23382065812659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3532.58</v>
      </c>
      <c r="G12" s="135">
        <f t="shared" si="0"/>
        <v>-376.4200000000001</v>
      </c>
      <c r="H12" s="137">
        <f t="shared" si="4"/>
        <v>90.37042721923765</v>
      </c>
      <c r="I12" s="136">
        <f t="shared" si="1"/>
        <v>-2267.42</v>
      </c>
      <c r="J12" s="136">
        <f t="shared" si="2"/>
        <v>60.90655172413793</v>
      </c>
      <c r="K12" s="138">
        <f>F12-5298.15/75*60</f>
        <v>-705.9399999999996</v>
      </c>
      <c r="L12" s="138">
        <f>F12/(5298.15*60)*100</f>
        <v>1.1112621072135243</v>
      </c>
      <c r="M12" s="137">
        <f>E12-серпень!E12</f>
        <v>660</v>
      </c>
      <c r="N12" s="137">
        <f>F12-серпень!F12</f>
        <v>201.2199999999998</v>
      </c>
      <c r="O12" s="138">
        <f t="shared" si="3"/>
        <v>-458.7800000000002</v>
      </c>
      <c r="P12" s="136">
        <f t="shared" si="5"/>
        <v>30.48787878787876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5511.76</v>
      </c>
      <c r="G13" s="135">
        <f t="shared" si="0"/>
        <v>-711.6399999999994</v>
      </c>
      <c r="H13" s="137">
        <f t="shared" si="4"/>
        <v>88.56509303596106</v>
      </c>
      <c r="I13" s="136">
        <f t="shared" si="1"/>
        <v>-2888.24</v>
      </c>
      <c r="J13" s="136">
        <f t="shared" si="2"/>
        <v>65.61619047619048</v>
      </c>
      <c r="K13" s="138">
        <f>F13-7303.25/75*60</f>
        <v>-330.84000000000015</v>
      </c>
      <c r="L13" s="138">
        <f>F13/(7303.25/75*60)*100</f>
        <v>94.33745250402218</v>
      </c>
      <c r="M13" s="137">
        <f>E13-серпень!E13</f>
        <v>450</v>
      </c>
      <c r="N13" s="137">
        <f>F13-серпень!F13</f>
        <v>535.0300000000007</v>
      </c>
      <c r="O13" s="138">
        <f t="shared" si="3"/>
        <v>85.03000000000065</v>
      </c>
      <c r="P13" s="136">
        <f t="shared" si="5"/>
        <v>118.89555555555572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-670.52</v>
      </c>
      <c r="G15" s="43">
        <f t="shared" si="0"/>
        <v>-841.92</v>
      </c>
      <c r="H15" s="35"/>
      <c r="I15" s="50">
        <f t="shared" si="1"/>
        <v>-670.52</v>
      </c>
      <c r="J15" s="50" t="e">
        <f>F15/D15*100</f>
        <v>#DIV/0!</v>
      </c>
      <c r="K15" s="53">
        <f>F15-(-404.47)</f>
        <v>-266.04999999999995</v>
      </c>
      <c r="L15" s="53">
        <f>F15/(-404.47)*100</f>
        <v>165.7774371399609</v>
      </c>
      <c r="M15" s="35">
        <f>E15-серпень!E15</f>
        <v>0.09999999999999432</v>
      </c>
      <c r="N15" s="35">
        <f>F15-серпень!F15</f>
        <v>64.06000000000006</v>
      </c>
      <c r="O15" s="47">
        <f t="shared" si="3"/>
        <v>63.960000000000065</v>
      </c>
      <c r="P15" s="50"/>
      <c r="Q15" s="50">
        <f>N15-358.81</f>
        <v>-294.74999999999994</v>
      </c>
      <c r="R15" s="126">
        <f>N15/358.81</f>
        <v>0.17853460048493647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-1169.76</v>
      </c>
      <c r="G16" s="135">
        <f t="shared" si="0"/>
        <v>-1169.76</v>
      </c>
      <c r="H16" s="137"/>
      <c r="I16" s="136">
        <f t="shared" si="1"/>
        <v>-1169.76</v>
      </c>
      <c r="J16" s="136"/>
      <c r="K16" s="138">
        <f>F16-95.61</f>
        <v>-1265.37</v>
      </c>
      <c r="L16" s="138">
        <f>F16/95.61*100</f>
        <v>-1223.4703482899276</v>
      </c>
      <c r="M16" s="35">
        <f>E16-серпень!E16</f>
        <v>0</v>
      </c>
      <c r="N16" s="35">
        <f>F16-серпень!F16</f>
        <v>64.04999999999995</v>
      </c>
      <c r="O16" s="138">
        <f t="shared" si="3"/>
        <v>64.04999999999995</v>
      </c>
      <c r="P16" s="50"/>
      <c r="Q16" s="136">
        <f>N16-358.81</f>
        <v>-294.76000000000005</v>
      </c>
      <c r="R16" s="141">
        <f>N16/358.79</f>
        <v>0.17851668106691923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44863.4</v>
      </c>
      <c r="G19" s="43">
        <f t="shared" si="0"/>
        <v>-5859.3499999999985</v>
      </c>
      <c r="H19" s="35">
        <f t="shared" si="4"/>
        <v>88.44828011099555</v>
      </c>
      <c r="I19" s="50">
        <f t="shared" si="1"/>
        <v>-17346.6</v>
      </c>
      <c r="J19" s="178">
        <f>F19/D19*100</f>
        <v>72.11605851149334</v>
      </c>
      <c r="K19" s="179">
        <f>F19-0</f>
        <v>44863.4</v>
      </c>
      <c r="L19" s="180"/>
      <c r="M19" s="35">
        <f>E19-серпень!E19</f>
        <v>6800</v>
      </c>
      <c r="N19" s="35">
        <f>F19-серпень!F19</f>
        <v>985.739999999998</v>
      </c>
      <c r="O19" s="47">
        <f t="shared" si="3"/>
        <v>-5814.260000000002</v>
      </c>
      <c r="P19" s="50">
        <f t="shared" si="5"/>
        <v>14.496176470588203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152514.18</v>
      </c>
      <c r="G20" s="43">
        <f t="shared" si="0"/>
        <v>-964.2200000000012</v>
      </c>
      <c r="H20" s="35">
        <f t="shared" si="4"/>
        <v>99.37175524373463</v>
      </c>
      <c r="I20" s="50">
        <f t="shared" si="1"/>
        <v>-37355.82000000001</v>
      </c>
      <c r="J20" s="178">
        <f aca="true" t="shared" si="6" ref="J20:J46">F20/D20*100</f>
        <v>80.32558066045189</v>
      </c>
      <c r="K20" s="178">
        <f>K21+K25+K26+K27</f>
        <v>26589.09</v>
      </c>
      <c r="L20" s="136"/>
      <c r="M20" s="35">
        <f>E20-серпень!E20</f>
        <v>12786.100000000006</v>
      </c>
      <c r="N20" s="35">
        <f>F20-серпень!F20</f>
        <v>5446.010000000009</v>
      </c>
      <c r="O20" s="47">
        <f t="shared" si="3"/>
        <v>-7340.0899999999965</v>
      </c>
      <c r="P20" s="50">
        <f t="shared" si="5"/>
        <v>42.59320668538496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82288.29</v>
      </c>
      <c r="G21" s="43">
        <f t="shared" si="0"/>
        <v>-3612.1100000000006</v>
      </c>
      <c r="H21" s="35">
        <f t="shared" si="4"/>
        <v>95.79500211873285</v>
      </c>
      <c r="I21" s="50">
        <f t="shared" si="1"/>
        <v>-28011.710000000006</v>
      </c>
      <c r="J21" s="178">
        <f t="shared" si="6"/>
        <v>74.60407071622846</v>
      </c>
      <c r="K21" s="178">
        <f>K22+K23+K24</f>
        <v>20741.679999999997</v>
      </c>
      <c r="L21" s="136"/>
      <c r="M21" s="35">
        <f>E21-серпень!E21</f>
        <v>8720.099999999991</v>
      </c>
      <c r="N21" s="35">
        <f>F21-серпень!F21</f>
        <v>2489.409999999989</v>
      </c>
      <c r="O21" s="47">
        <f t="shared" si="3"/>
        <v>-6230.690000000002</v>
      </c>
      <c r="P21" s="50">
        <f t="shared" si="5"/>
        <v>28.54795243173807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9007.25</v>
      </c>
      <c r="G22" s="135">
        <f t="shared" si="0"/>
        <v>212.85000000000036</v>
      </c>
      <c r="H22" s="137">
        <f t="shared" si="4"/>
        <v>102.42029018466296</v>
      </c>
      <c r="I22" s="136">
        <f t="shared" si="1"/>
        <v>-1692.75</v>
      </c>
      <c r="J22" s="136">
        <f t="shared" si="6"/>
        <v>84.17990654205607</v>
      </c>
      <c r="K22" s="136">
        <f>F22-314.15</f>
        <v>8693.1</v>
      </c>
      <c r="L22" s="136">
        <f>F22/314.15*100</f>
        <v>2867.181282826675</v>
      </c>
      <c r="M22" s="137">
        <f>E22-серпень!E22</f>
        <v>171.10000000000036</v>
      </c>
      <c r="N22" s="137">
        <f>F22-серпень!F22</f>
        <v>333.5100000000002</v>
      </c>
      <c r="O22" s="138">
        <f t="shared" si="3"/>
        <v>162.40999999999985</v>
      </c>
      <c r="P22" s="136">
        <f t="shared" si="5"/>
        <v>194.9210987726473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3262.78</v>
      </c>
      <c r="G23" s="135">
        <f t="shared" si="0"/>
        <v>1475.7800000000002</v>
      </c>
      <c r="H23" s="137"/>
      <c r="I23" s="136">
        <f t="shared" si="1"/>
        <v>1162.7800000000002</v>
      </c>
      <c r="J23" s="136">
        <f t="shared" si="6"/>
        <v>155.37047619047618</v>
      </c>
      <c r="K23" s="136">
        <f>F23-0</f>
        <v>3262.78</v>
      </c>
      <c r="L23" s="136"/>
      <c r="M23" s="137">
        <f>E23-серпень!E23</f>
        <v>309</v>
      </c>
      <c r="N23" s="137">
        <f>F23-серпень!F23</f>
        <v>145.83000000000038</v>
      </c>
      <c r="O23" s="138">
        <f t="shared" si="3"/>
        <v>-163.16999999999962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70018.26</v>
      </c>
      <c r="G24" s="135">
        <f t="shared" si="0"/>
        <v>-5300.740000000005</v>
      </c>
      <c r="H24" s="137">
        <f t="shared" si="4"/>
        <v>92.96228043388786</v>
      </c>
      <c r="I24" s="136">
        <f t="shared" si="1"/>
        <v>-27481.740000000005</v>
      </c>
      <c r="J24" s="136">
        <f t="shared" si="6"/>
        <v>71.8136</v>
      </c>
      <c r="K24" s="224">
        <f>F24-61232.46</f>
        <v>8785.799999999996</v>
      </c>
      <c r="L24" s="224">
        <f>F24/61232.46*100</f>
        <v>114.34827214193255</v>
      </c>
      <c r="M24" s="137">
        <f>E24-серпень!E24</f>
        <v>8240</v>
      </c>
      <c r="N24" s="137">
        <f>F24-серпень!F24</f>
        <v>2010.0699999999924</v>
      </c>
      <c r="O24" s="138">
        <f t="shared" si="3"/>
        <v>-6229.930000000008</v>
      </c>
      <c r="P24" s="136">
        <f t="shared" si="5"/>
        <v>24.394053398058162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54.85</v>
      </c>
      <c r="G25" s="43">
        <f t="shared" si="0"/>
        <v>13.350000000000001</v>
      </c>
      <c r="H25" s="35">
        <f t="shared" si="4"/>
        <v>132.16867469879517</v>
      </c>
      <c r="I25" s="50">
        <f t="shared" si="1"/>
        <v>-15.149999999999999</v>
      </c>
      <c r="J25" s="178">
        <f t="shared" si="6"/>
        <v>78.35714285714286</v>
      </c>
      <c r="K25" s="178">
        <f>F25-44.08</f>
        <v>10.770000000000003</v>
      </c>
      <c r="L25" s="178">
        <f>F25/44.08*100</f>
        <v>124.43284936479128</v>
      </c>
      <c r="M25" s="35">
        <f>E25-серпень!E25</f>
        <v>6</v>
      </c>
      <c r="N25" s="35">
        <f>F25-серпень!F25</f>
        <v>6</v>
      </c>
      <c r="O25" s="47">
        <f t="shared" si="3"/>
        <v>0</v>
      </c>
      <c r="P25" s="50">
        <f t="shared" si="5"/>
        <v>100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-698.51</v>
      </c>
      <c r="G26" s="43">
        <f t="shared" si="0"/>
        <v>-698.51</v>
      </c>
      <c r="H26" s="35"/>
      <c r="I26" s="50">
        <f t="shared" si="1"/>
        <v>-698.51</v>
      </c>
      <c r="J26" s="136"/>
      <c r="K26" s="178">
        <f>F26-4797.94</f>
        <v>-5496.45</v>
      </c>
      <c r="L26" s="178">
        <f>F26/4797.94*100</f>
        <v>-14.558539706624094</v>
      </c>
      <c r="M26" s="35">
        <f>E26-серпень!E26</f>
        <v>0</v>
      </c>
      <c r="N26" s="35">
        <f>F26-серпень!F26</f>
        <v>-83.93999999999994</v>
      </c>
      <c r="O26" s="47">
        <f t="shared" si="3"/>
        <v>-83.93999999999994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70869.55</v>
      </c>
      <c r="G27" s="43">
        <f t="shared" si="0"/>
        <v>3333.050000000003</v>
      </c>
      <c r="H27" s="35">
        <f t="shared" si="4"/>
        <v>104.9351831972341</v>
      </c>
      <c r="I27" s="50">
        <f t="shared" si="1"/>
        <v>-8630.449999999997</v>
      </c>
      <c r="J27" s="178">
        <f t="shared" si="6"/>
        <v>89.14408805031448</v>
      </c>
      <c r="K27" s="132">
        <f>F27-59536.46</f>
        <v>11333.090000000004</v>
      </c>
      <c r="L27" s="132">
        <f>F27/59536.46*100</f>
        <v>119.03554561356185</v>
      </c>
      <c r="M27" s="35">
        <f>E27-серпень!E27</f>
        <v>4060</v>
      </c>
      <c r="N27" s="35">
        <f>F27-серпень!F27</f>
        <v>3034.540000000008</v>
      </c>
      <c r="O27" s="47">
        <f t="shared" si="3"/>
        <v>-1025.4599999999919</v>
      </c>
      <c r="P27" s="50">
        <f t="shared" si="5"/>
        <v>74.7423645320199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17261</v>
      </c>
      <c r="G29" s="135">
        <f t="shared" si="0"/>
        <v>481</v>
      </c>
      <c r="H29" s="137">
        <f t="shared" si="4"/>
        <v>102.86650774731822</v>
      </c>
      <c r="I29" s="136">
        <f t="shared" si="1"/>
        <v>-1939</v>
      </c>
      <c r="J29" s="136">
        <f t="shared" si="6"/>
        <v>89.90104166666667</v>
      </c>
      <c r="K29" s="139">
        <f>F29-16472.46</f>
        <v>788.5400000000009</v>
      </c>
      <c r="L29" s="139">
        <f>F29/16472.46*100</f>
        <v>104.78702027505304</v>
      </c>
      <c r="M29" s="137">
        <f>E29-серпень!E29</f>
        <v>1200</v>
      </c>
      <c r="N29" s="137">
        <f>F29-серпень!F29</f>
        <v>329.66999999999825</v>
      </c>
      <c r="O29" s="138">
        <f t="shared" si="3"/>
        <v>-870.3300000000017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53592.92</v>
      </c>
      <c r="G30" s="135">
        <f t="shared" si="0"/>
        <v>2836.4199999999983</v>
      </c>
      <c r="H30" s="137">
        <f t="shared" si="4"/>
        <v>105.58828918463645</v>
      </c>
      <c r="I30" s="136">
        <f t="shared" si="1"/>
        <v>-6707.080000000002</v>
      </c>
      <c r="J30" s="136">
        <f t="shared" si="6"/>
        <v>88.87714759535655</v>
      </c>
      <c r="K30" s="139">
        <f>F30-43062.79</f>
        <v>10530.129999999997</v>
      </c>
      <c r="L30" s="139">
        <f>F30/43062.79*100</f>
        <v>124.45296739946482</v>
      </c>
      <c r="M30" s="137">
        <f>E30-серпень!E30</f>
        <v>2860</v>
      </c>
      <c r="N30" s="137">
        <f>F30-серпень!F30</f>
        <v>2704.8499999999985</v>
      </c>
      <c r="O30" s="138">
        <f t="shared" si="3"/>
        <v>-155.15000000000146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5578.51</v>
      </c>
      <c r="G32" s="43">
        <f t="shared" si="0"/>
        <v>-173.88999999999942</v>
      </c>
      <c r="H32" s="35">
        <f t="shared" si="4"/>
        <v>96.97708782421252</v>
      </c>
      <c r="I32" s="50">
        <f t="shared" si="1"/>
        <v>-1921.4899999999998</v>
      </c>
      <c r="J32" s="178">
        <f t="shared" si="6"/>
        <v>74.38013333333333</v>
      </c>
      <c r="K32" s="178">
        <f>F32-7368.88</f>
        <v>-1790.37</v>
      </c>
      <c r="L32" s="178">
        <f>F32/7368.88*100</f>
        <v>75.70363474503588</v>
      </c>
      <c r="M32" s="35">
        <f>E32-серпень!E32</f>
        <v>0.2999999999992724</v>
      </c>
      <c r="N32" s="35">
        <f>F32-серпень!F32</f>
        <v>4.550000000000182</v>
      </c>
      <c r="O32" s="47">
        <f t="shared" si="3"/>
        <v>4.2500000000009095</v>
      </c>
      <c r="P32" s="50">
        <f t="shared" si="5"/>
        <v>1516.6666666704057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27702.49</v>
      </c>
      <c r="G33" s="44">
        <f t="shared" si="0"/>
        <v>1052.4900000000016</v>
      </c>
      <c r="H33" s="45">
        <f>F33/E33*100</f>
        <v>103.94930581613508</v>
      </c>
      <c r="I33" s="31">
        <f t="shared" si="1"/>
        <v>-7937.079999999998</v>
      </c>
      <c r="J33" s="31">
        <f t="shared" si="6"/>
        <v>77.72958540184408</v>
      </c>
      <c r="K33" s="18">
        <f>K34+K35+K36+K37+K38+K41+K42+K47+K48+K52+K40</f>
        <v>17943.8</v>
      </c>
      <c r="L33" s="18"/>
      <c r="M33" s="18">
        <f>M34+M35+M36+M37+M38+M41+M42+M47+M48+M52+M40+M39</f>
        <v>6559.8</v>
      </c>
      <c r="N33" s="18">
        <f>N34+N35+N36+N37+N38+N41+N42+N47+N48+N52+N40+N39</f>
        <v>6095.139999999999</v>
      </c>
      <c r="O33" s="49">
        <f t="shared" si="3"/>
        <v>-464.66000000000076</v>
      </c>
      <c r="P33" s="31">
        <f>N33/M33*100</f>
        <v>92.9165523339126</v>
      </c>
      <c r="Q33" s="31">
        <f>N33-1017.63</f>
        <v>5077.509999999999</v>
      </c>
      <c r="R33" s="127">
        <f>N33/1017.63</f>
        <v>5.98954433340212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/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319.89</v>
      </c>
      <c r="G36" s="43">
        <f t="shared" si="0"/>
        <v>79.88999999999999</v>
      </c>
      <c r="H36" s="35"/>
      <c r="I36" s="50">
        <f t="shared" si="1"/>
        <v>79.88999999999999</v>
      </c>
      <c r="J36" s="50"/>
      <c r="K36" s="50">
        <f>F36-272.25</f>
        <v>47.639999999999986</v>
      </c>
      <c r="L36" s="50">
        <f>F36/272.25*100</f>
        <v>117.49862258953168</v>
      </c>
      <c r="M36" s="35">
        <f>E36-серпень!E36</f>
        <v>0</v>
      </c>
      <c r="N36" s="35">
        <f>F36-серпень!F36</f>
        <v>12.689999999999998</v>
      </c>
      <c r="O36" s="47">
        <f t="shared" si="3"/>
        <v>12.689999999999998</v>
      </c>
      <c r="P36" s="50"/>
      <c r="Q36" s="50">
        <f>N36-4.23</f>
        <v>8.459999999999997</v>
      </c>
      <c r="R36" s="126">
        <f>N36/4.23</f>
        <v>2.999999999999999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114.85</v>
      </c>
      <c r="G38" s="43">
        <f t="shared" si="0"/>
        <v>9.849999999999994</v>
      </c>
      <c r="H38" s="35">
        <f>F38/E38*100</f>
        <v>109.38095238095238</v>
      </c>
      <c r="I38" s="50">
        <f t="shared" si="1"/>
        <v>-25.150000000000006</v>
      </c>
      <c r="J38" s="50">
        <f t="shared" si="6"/>
        <v>82.03571428571428</v>
      </c>
      <c r="K38" s="50">
        <f>F38-97.95</f>
        <v>16.89999999999999</v>
      </c>
      <c r="L38" s="50">
        <f>F38/97.95*100</f>
        <v>117.25370086778968</v>
      </c>
      <c r="M38" s="35">
        <f>E38-серпень!E38</f>
        <v>15</v>
      </c>
      <c r="N38" s="35">
        <f>F38-серпень!F38</f>
        <v>10.789999999999992</v>
      </c>
      <c r="O38" s="47">
        <f t="shared" si="3"/>
        <v>-4.210000000000008</v>
      </c>
      <c r="P38" s="50">
        <f>N38/M38*100</f>
        <v>71.93333333333328</v>
      </c>
      <c r="Q38" s="50">
        <f>N38-9.02</f>
        <v>1.7699999999999925</v>
      </c>
      <c r="R38" s="126">
        <f>N38/9.02</f>
        <v>1.1962305986696222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/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7328.07</v>
      </c>
      <c r="G40" s="43"/>
      <c r="H40" s="35"/>
      <c r="I40" s="50">
        <f t="shared" si="1"/>
        <v>-1671.9300000000003</v>
      </c>
      <c r="J40" s="50"/>
      <c r="K40" s="50">
        <f>F40-0</f>
        <v>7328.07</v>
      </c>
      <c r="L40" s="50"/>
      <c r="M40" s="35">
        <f>E40-серпень!E40</f>
        <v>1000</v>
      </c>
      <c r="N40" s="35">
        <f>F40-серпень!F40</f>
        <v>556.0199999999995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5575.47</v>
      </c>
      <c r="G42" s="43">
        <f t="shared" si="0"/>
        <v>-223.52999999999975</v>
      </c>
      <c r="H42" s="35">
        <f>F42/E42*100</f>
        <v>96.14536989136059</v>
      </c>
      <c r="I42" s="50">
        <f t="shared" si="1"/>
        <v>-1524.5299999999997</v>
      </c>
      <c r="J42" s="50">
        <f t="shared" si="6"/>
        <v>78.52774647887324</v>
      </c>
      <c r="K42" s="50">
        <f>F42-782.38</f>
        <v>4793.09</v>
      </c>
      <c r="L42" s="50">
        <f>F42/782.38*100</f>
        <v>712.629412817301</v>
      </c>
      <c r="M42" s="35">
        <f>E42-серпень!E42</f>
        <v>604.3000000000002</v>
      </c>
      <c r="N42" s="35">
        <f>F42-серпень!F42</f>
        <v>354.03999999999996</v>
      </c>
      <c r="O42" s="47">
        <f t="shared" si="3"/>
        <v>-250.26000000000022</v>
      </c>
      <c r="P42" s="50">
        <f>N42/M42*100</f>
        <v>58.5867946384246</v>
      </c>
      <c r="Q42" s="50">
        <f>N42-79.51</f>
        <v>274.53</v>
      </c>
      <c r="R42" s="126">
        <f>N42/79.51</f>
        <v>4.452773236070934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785.02</v>
      </c>
      <c r="G43" s="135">
        <f t="shared" si="0"/>
        <v>-54.98000000000002</v>
      </c>
      <c r="H43" s="137">
        <f>F43/E43*100</f>
        <v>93.45476190476191</v>
      </c>
      <c r="I43" s="136">
        <f t="shared" si="1"/>
        <v>-314.98</v>
      </c>
      <c r="J43" s="136">
        <f t="shared" si="6"/>
        <v>71.36545454545454</v>
      </c>
      <c r="K43" s="136">
        <f>F43-687.25</f>
        <v>97.76999999999998</v>
      </c>
      <c r="L43" s="136">
        <f>F43/687.25*100</f>
        <v>114.22626409603491</v>
      </c>
      <c r="M43" s="35">
        <f>E43-серпень!E43</f>
        <v>80</v>
      </c>
      <c r="N43" s="35">
        <f>F43-серпень!F43</f>
        <v>49.889999999999986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44.04</v>
      </c>
      <c r="G44" s="135">
        <f t="shared" si="0"/>
        <v>-15.96</v>
      </c>
      <c r="H44" s="137"/>
      <c r="I44" s="136">
        <f t="shared" si="1"/>
        <v>-35.96</v>
      </c>
      <c r="J44" s="136"/>
      <c r="K44" s="136">
        <f>F44-0</f>
        <v>44.04</v>
      </c>
      <c r="L44" s="136"/>
      <c r="M44" s="35">
        <f>E44-серпень!E44</f>
        <v>10</v>
      </c>
      <c r="N44" s="35">
        <f>F44-серпень!F44</f>
        <v>-1.4100000000000037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4745.66</v>
      </c>
      <c r="G46" s="135">
        <f t="shared" si="0"/>
        <v>-152.34000000000015</v>
      </c>
      <c r="H46" s="137">
        <f>F46/E46*100</f>
        <v>96.88975091874235</v>
      </c>
      <c r="I46" s="136">
        <f t="shared" si="1"/>
        <v>-1172.3400000000001</v>
      </c>
      <c r="J46" s="136">
        <f t="shared" si="6"/>
        <v>80.19026698208854</v>
      </c>
      <c r="K46" s="136">
        <f>F46-95.13</f>
        <v>4650.53</v>
      </c>
      <c r="L46" s="136">
        <f>F46/95.13*100</f>
        <v>4988.6050667507625</v>
      </c>
      <c r="M46" s="35">
        <f>E46-серпень!E46</f>
        <v>514</v>
      </c>
      <c r="N46" s="35">
        <f>F46-серпень!F46</f>
        <v>305.5500000000002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3480.9</v>
      </c>
      <c r="G48" s="43">
        <f t="shared" si="0"/>
        <v>390.9000000000001</v>
      </c>
      <c r="H48" s="35">
        <f>F48/E48*100</f>
        <v>112.6504854368932</v>
      </c>
      <c r="I48" s="50">
        <f t="shared" si="1"/>
        <v>-719.0999999999999</v>
      </c>
      <c r="J48" s="50">
        <f>F48/D48*100</f>
        <v>82.87857142857143</v>
      </c>
      <c r="K48" s="50">
        <f>F48-3093.83</f>
        <v>387.07000000000016</v>
      </c>
      <c r="L48" s="50">
        <f>F48/3093.83*100</f>
        <v>112.51103001780965</v>
      </c>
      <c r="M48" s="35">
        <f>E48-серпень!E48</f>
        <v>390</v>
      </c>
      <c r="N48" s="35">
        <f>F48-серпень!F48</f>
        <v>288.25</v>
      </c>
      <c r="O48" s="47">
        <f t="shared" si="3"/>
        <v>-101.75</v>
      </c>
      <c r="P48" s="50">
        <f aca="true" t="shared" si="7" ref="P48:P53">N48/M48*100</f>
        <v>73.91025641025641</v>
      </c>
      <c r="Q48" s="50">
        <f>N48-277.38</f>
        <v>10.870000000000005</v>
      </c>
      <c r="R48" s="126">
        <f>N48/277.38</f>
        <v>1.039188117384094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969.8</v>
      </c>
      <c r="G51" s="135">
        <f t="shared" si="0"/>
        <v>969.8</v>
      </c>
      <c r="H51" s="137"/>
      <c r="I51" s="136">
        <f t="shared" si="1"/>
        <v>969.8</v>
      </c>
      <c r="J51" s="136"/>
      <c r="K51" s="219">
        <f>F51-758.38</f>
        <v>211.41999999999996</v>
      </c>
      <c r="L51" s="219">
        <f>F51/758.38*100</f>
        <v>127.87784487987552</v>
      </c>
      <c r="M51" s="35">
        <f>E51-серпень!E51</f>
        <v>0</v>
      </c>
      <c r="N51" s="35">
        <f>F51-серпень!F51</f>
        <v>79.19999999999993</v>
      </c>
      <c r="O51" s="138">
        <f t="shared" si="3"/>
        <v>79.19999999999993</v>
      </c>
      <c r="P51" s="136"/>
      <c r="Q51" s="50">
        <f>N51-64.93</f>
        <v>14.269999999999925</v>
      </c>
      <c r="R51" s="126">
        <f>N51/64.93</f>
        <v>1.2197751424611107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483315.99</v>
      </c>
      <c r="G55" s="44">
        <f>F55-E55</f>
        <v>-2105.9100000000326</v>
      </c>
      <c r="H55" s="45">
        <f>F55/E55*100</f>
        <v>99.56616914070008</v>
      </c>
      <c r="I55" s="31">
        <f>F55-D55</f>
        <v>-124639.07999999996</v>
      </c>
      <c r="J55" s="31">
        <f>F55/D55*100</f>
        <v>79.49863630547567</v>
      </c>
      <c r="K55" s="31">
        <f>K8+K33+K53+K54</f>
        <v>114553.18600000002</v>
      </c>
      <c r="L55" s="31">
        <f>F55/(F55-K55)*100</f>
        <v>131.0641921466678</v>
      </c>
      <c r="M55" s="18">
        <f>M8+M33+M53+M54</f>
        <v>52238.399999999994</v>
      </c>
      <c r="N55" s="18">
        <f>N8+N33+N53+N54</f>
        <v>32181.799999999996</v>
      </c>
      <c r="O55" s="49">
        <f>N55-M55</f>
        <v>-20056.6</v>
      </c>
      <c r="P55" s="31">
        <f>N55/M55*100</f>
        <v>61.60563876382125</v>
      </c>
      <c r="Q55" s="31">
        <f>N55-34768</f>
        <v>-2586.2000000000044</v>
      </c>
      <c r="R55" s="171">
        <f>N55/34768</f>
        <v>0.9256155085135755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593.06</v>
      </c>
      <c r="G64" s="43">
        <f t="shared" si="8"/>
        <v>-1006.94</v>
      </c>
      <c r="H64" s="35"/>
      <c r="I64" s="53">
        <f t="shared" si="9"/>
        <v>-1906.94</v>
      </c>
      <c r="J64" s="53">
        <f t="shared" si="11"/>
        <v>23.7224</v>
      </c>
      <c r="K64" s="53">
        <f>F64-1754.73</f>
        <v>-1161.67</v>
      </c>
      <c r="L64" s="53">
        <f>F64/1754.73*100</f>
        <v>33.797792252939196</v>
      </c>
      <c r="M64" s="35">
        <f>E64-серпень!E64</f>
        <v>600</v>
      </c>
      <c r="N64" s="35">
        <f>F64-серпень!F64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3948.27</v>
      </c>
      <c r="G65" s="43">
        <f t="shared" si="8"/>
        <v>-1513.8899999999999</v>
      </c>
      <c r="H65" s="35">
        <f>F65/E65*100</f>
        <v>72.28404147809658</v>
      </c>
      <c r="I65" s="53">
        <f t="shared" si="9"/>
        <v>-7627.73</v>
      </c>
      <c r="J65" s="53">
        <f t="shared" si="11"/>
        <v>34.107377332411886</v>
      </c>
      <c r="K65" s="53">
        <f>F65-2393.24</f>
        <v>1555.0300000000002</v>
      </c>
      <c r="L65" s="53">
        <f>F65/2393.24*100</f>
        <v>164.97593220905554</v>
      </c>
      <c r="M65" s="35">
        <f>E65-серпень!E65</f>
        <v>728.7200000000003</v>
      </c>
      <c r="N65" s="35">
        <f>F65-серпень!F65</f>
        <v>189.6300000000001</v>
      </c>
      <c r="O65" s="47">
        <f t="shared" si="10"/>
        <v>-539.0900000000001</v>
      </c>
      <c r="P65" s="53">
        <f>N65/M65*100</f>
        <v>26.022340542320787</v>
      </c>
      <c r="Q65" s="53">
        <f>N65-450.01</f>
        <v>-260.3799999999999</v>
      </c>
      <c r="R65" s="129">
        <f>N65/450.01</f>
        <v>0.42139063576364993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1839.08</v>
      </c>
      <c r="G66" s="43">
        <f t="shared" si="8"/>
        <v>654.28</v>
      </c>
      <c r="H66" s="35">
        <f>F66/E66*100</f>
        <v>155.2228224172856</v>
      </c>
      <c r="I66" s="53">
        <f t="shared" si="9"/>
        <v>-1160.92</v>
      </c>
      <c r="J66" s="53">
        <f t="shared" si="11"/>
        <v>61.30266666666666</v>
      </c>
      <c r="K66" s="53">
        <f>F66-1074.91</f>
        <v>764.1699999999998</v>
      </c>
      <c r="L66" s="53">
        <f>F66/1074.91*100</f>
        <v>171.09153324464373</v>
      </c>
      <c r="M66" s="35">
        <f>E66-серпень!E66</f>
        <v>148.0999999999999</v>
      </c>
      <c r="N66" s="35">
        <f>F66-серпень!F66</f>
        <v>0.4399999999998272</v>
      </c>
      <c r="O66" s="47">
        <f t="shared" si="10"/>
        <v>-147.66000000000008</v>
      </c>
      <c r="P66" s="53">
        <f>N66/M66*100</f>
        <v>0.29709655638070726</v>
      </c>
      <c r="Q66" s="53">
        <f>N66-1.05</f>
        <v>-0.6100000000001728</v>
      </c>
      <c r="R66" s="129">
        <f>N66/1.05</f>
        <v>0.41904761904745447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6380.41</v>
      </c>
      <c r="G67" s="55">
        <f t="shared" si="8"/>
        <v>-1866.5499999999993</v>
      </c>
      <c r="H67" s="65">
        <f>F67/E67*100</f>
        <v>77.36681152812673</v>
      </c>
      <c r="I67" s="54">
        <f t="shared" si="9"/>
        <v>-10695.59</v>
      </c>
      <c r="J67" s="54">
        <f t="shared" si="11"/>
        <v>37.36478097915202</v>
      </c>
      <c r="K67" s="54">
        <f>K64+K65+K66</f>
        <v>1157.53</v>
      </c>
      <c r="L67" s="54"/>
      <c r="M67" s="55">
        <f>M64+M65+M66</f>
        <v>1476.8200000000002</v>
      </c>
      <c r="N67" s="55">
        <f>N64+N65+N66</f>
        <v>190.1099999999999</v>
      </c>
      <c r="O67" s="54">
        <f t="shared" si="10"/>
        <v>-1286.7100000000003</v>
      </c>
      <c r="P67" s="54">
        <f>N67/M67*100</f>
        <v>12.872929673216769</v>
      </c>
      <c r="Q67" s="54">
        <f>N67-7985.28</f>
        <v>-7795.17</v>
      </c>
      <c r="R67" s="173">
        <f>N67/7985.28</f>
        <v>0.023807555902861252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6351.03</v>
      </c>
      <c r="G74" s="44">
        <f>F74-E74</f>
        <v>-1965.1499999999987</v>
      </c>
      <c r="H74" s="45">
        <f>F74/E74*100</f>
        <v>76.36955910045238</v>
      </c>
      <c r="I74" s="31">
        <f>F74-D74</f>
        <v>-10820.970000000001</v>
      </c>
      <c r="J74" s="31">
        <f>F74/D74*100</f>
        <v>36.98480083857442</v>
      </c>
      <c r="K74" s="31">
        <f>K62+K67+K71+K72</f>
        <v>814.2</v>
      </c>
      <c r="L74" s="31"/>
      <c r="M74" s="27">
        <f>M62+M72+M67+M71</f>
        <v>1495.8200000000002</v>
      </c>
      <c r="N74" s="27">
        <f>N62+N72+N67+N71+N73</f>
        <v>187.5999999999999</v>
      </c>
      <c r="O74" s="31">
        <f>N74-M74</f>
        <v>-1308.2200000000003</v>
      </c>
      <c r="P74" s="31">
        <f>N74/M74*100</f>
        <v>12.541615969835934</v>
      </c>
      <c r="Q74" s="31">
        <f>N74-8104.96</f>
        <v>-7917.360000000001</v>
      </c>
      <c r="R74" s="127">
        <f>N74/8104.96</f>
        <v>0.023146320277953242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489667.02</v>
      </c>
      <c r="G75" s="44">
        <f>F75-E75</f>
        <v>-4071.0599999999977</v>
      </c>
      <c r="H75" s="45">
        <f>F75/E75*100</f>
        <v>99.17546161316947</v>
      </c>
      <c r="I75" s="31">
        <f>F75-D75</f>
        <v>-135460.04999999993</v>
      </c>
      <c r="J75" s="31">
        <f>F75/D75*100</f>
        <v>78.33079760887655</v>
      </c>
      <c r="K75" s="31">
        <f>K55+K74</f>
        <v>115367.38600000001</v>
      </c>
      <c r="L75" s="31">
        <f>F75/(F75-K75)*100</f>
        <v>130.82220112456747</v>
      </c>
      <c r="M75" s="18">
        <f>M55+M74</f>
        <v>53734.219999999994</v>
      </c>
      <c r="N75" s="18">
        <f>N55+N74</f>
        <v>32369.399999999994</v>
      </c>
      <c r="O75" s="31">
        <f>N75-M75</f>
        <v>-21364.82</v>
      </c>
      <c r="P75" s="31">
        <f>N75/M75*100</f>
        <v>60.23982482671191</v>
      </c>
      <c r="Q75" s="31">
        <f>N75-42872.96</f>
        <v>-10503.560000000005</v>
      </c>
      <c r="R75" s="127">
        <f>N75/42872.96</f>
        <v>0.7550073519533056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7</v>
      </c>
      <c r="D77" s="4" t="s">
        <v>118</v>
      </c>
    </row>
    <row r="78" spans="2:17" ht="31.5">
      <c r="B78" s="71" t="s">
        <v>154</v>
      </c>
      <c r="C78" s="34">
        <f>IF(O55&lt;0,ABS(O55/C77),0)</f>
        <v>2865.2285714285713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42268</v>
      </c>
      <c r="D79" s="34">
        <v>1714.1</v>
      </c>
      <c r="G79" s="4" t="s">
        <v>166</v>
      </c>
      <c r="N79" s="252"/>
      <c r="O79" s="252"/>
    </row>
    <row r="80" spans="3:15" ht="15.75">
      <c r="C80" s="111">
        <v>42265</v>
      </c>
      <c r="D80" s="34">
        <v>2392.3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42264</v>
      </c>
      <c r="D81" s="34">
        <v>1593.7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2382.7917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2015-09-22T07:33:02Z</cp:lastPrinted>
  <dcterms:created xsi:type="dcterms:W3CDTF">2003-07-28T11:27:56Z</dcterms:created>
  <dcterms:modified xsi:type="dcterms:W3CDTF">2015-09-22T08:00:15Z</dcterms:modified>
  <cp:category/>
  <cp:version/>
  <cp:contentType/>
  <cp:contentStatus/>
</cp:coreProperties>
</file>